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195" windowHeight="9210" activeTab="0"/>
  </bookViews>
  <sheets>
    <sheet name="Feuil1" sheetId="1" r:id="rId1"/>
    <sheet name="Feuil3" sheetId="2" r:id="rId2"/>
    <sheet name="Feuil2" sheetId="3" r:id="rId3"/>
  </sheets>
  <definedNames>
    <definedName name="_xlnm.Print_Area" localSheetId="0">'Feuil1'!$A$1:$K$39</definedName>
    <definedName name="_xlnm.Print_Area" localSheetId="2">'Feuil2'!$A$1:$C$24</definedName>
    <definedName name="_xlnm.Print_Area" localSheetId="1">'Feuil3'!$A$1:$F$32</definedName>
  </definedNames>
  <calcPr fullCalcOnLoad="1"/>
</workbook>
</file>

<file path=xl/sharedStrings.xml><?xml version="1.0" encoding="utf-8"?>
<sst xmlns="http://schemas.openxmlformats.org/spreadsheetml/2006/main" count="178" uniqueCount="175">
  <si>
    <t>Valeur</t>
  </si>
  <si>
    <t xml:space="preserve">ENTREES                  </t>
  </si>
  <si>
    <t>Petit diamètre de calculs en m</t>
  </si>
  <si>
    <r>
      <t>l</t>
    </r>
    <r>
      <rPr>
        <sz val="10"/>
        <rFont val="Arial"/>
        <family val="2"/>
      </rPr>
      <t>m1</t>
    </r>
  </si>
  <si>
    <r>
      <t>l</t>
    </r>
    <r>
      <rPr>
        <sz val="10"/>
        <rFont val="Arial"/>
        <family val="2"/>
      </rPr>
      <t>m2</t>
    </r>
  </si>
  <si>
    <t>a</t>
  </si>
  <si>
    <t>d</t>
  </si>
  <si>
    <t>G</t>
  </si>
  <si>
    <r>
      <t>l</t>
    </r>
    <r>
      <rPr>
        <vertAlign val="subscript"/>
        <sz val="10"/>
        <rFont val="Arial"/>
        <family val="2"/>
      </rPr>
      <t>t</t>
    </r>
  </si>
  <si>
    <t>A</t>
  </si>
  <si>
    <t>B</t>
  </si>
  <si>
    <r>
      <t>m</t>
    </r>
    <r>
      <rPr>
        <b/>
        <vertAlign val="subscript"/>
        <sz val="10"/>
        <rFont val="Arial"/>
        <family val="2"/>
      </rPr>
      <t>t</t>
    </r>
  </si>
  <si>
    <t>Masse de la toile en Kg/m2</t>
  </si>
  <si>
    <t>C</t>
  </si>
  <si>
    <r>
      <t>X</t>
    </r>
    <r>
      <rPr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=X</t>
    </r>
    <r>
      <rPr>
        <vertAlign val="subscript"/>
        <sz val="10"/>
        <rFont val="Arial"/>
        <family val="2"/>
      </rPr>
      <t>B</t>
    </r>
  </si>
  <si>
    <r>
      <t>Y</t>
    </r>
    <r>
      <rPr>
        <vertAlign val="subscript"/>
        <sz val="10"/>
        <rFont val="Arial"/>
        <family val="2"/>
      </rPr>
      <t>A</t>
    </r>
  </si>
  <si>
    <r>
      <t>Y</t>
    </r>
    <r>
      <rPr>
        <vertAlign val="subscript"/>
        <sz val="10"/>
        <rFont val="Arial"/>
        <family val="2"/>
      </rPr>
      <t>B</t>
    </r>
  </si>
  <si>
    <r>
      <t>L</t>
    </r>
    <r>
      <rPr>
        <vertAlign val="subscript"/>
        <sz val="10"/>
        <rFont val="Arial"/>
        <family val="2"/>
      </rPr>
      <t>d</t>
    </r>
  </si>
  <si>
    <t>z</t>
  </si>
  <si>
    <t>dist en m de toile à anneau central</t>
  </si>
  <si>
    <t xml:space="preserve">p </t>
  </si>
  <si>
    <r>
      <t>h</t>
    </r>
    <r>
      <rPr>
        <b/>
        <vertAlign val="subscript"/>
        <sz val="10"/>
        <rFont val="Arial"/>
        <family val="2"/>
      </rPr>
      <t>d</t>
    </r>
  </si>
  <si>
    <t>Dist en m de haut de toile à drisse</t>
  </si>
  <si>
    <t>R</t>
  </si>
  <si>
    <r>
      <t>Résit rupt Kg/mm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tous les câbles</t>
    </r>
  </si>
  <si>
    <r>
      <t>Densité Kg/dcm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tous les câbles</t>
    </r>
  </si>
  <si>
    <r>
      <t>K</t>
    </r>
    <r>
      <rPr>
        <b/>
        <vertAlign val="subscript"/>
        <sz val="10"/>
        <rFont val="Arial"/>
        <family val="2"/>
      </rPr>
      <t>a</t>
    </r>
  </si>
  <si>
    <t>Diamètre de treuil en mm</t>
  </si>
  <si>
    <r>
      <t>ø</t>
    </r>
    <r>
      <rPr>
        <vertAlign val="subscript"/>
        <sz val="12"/>
        <rFont val="Arial"/>
        <family val="2"/>
      </rPr>
      <t>tr</t>
    </r>
  </si>
  <si>
    <r>
      <t>m</t>
    </r>
    <r>
      <rPr>
        <b/>
        <vertAlign val="subscript"/>
        <sz val="10"/>
        <rFont val="Arial"/>
        <family val="2"/>
      </rPr>
      <t>p</t>
    </r>
  </si>
  <si>
    <t xml:space="preserve">Masse en Kg ens poulie de drisse </t>
  </si>
  <si>
    <r>
      <t>m</t>
    </r>
    <r>
      <rPr>
        <vertAlign val="subscript"/>
        <sz val="10"/>
        <rFont val="Arial"/>
        <family val="2"/>
      </rPr>
      <t>f</t>
    </r>
  </si>
  <si>
    <r>
      <t>K</t>
    </r>
    <r>
      <rPr>
        <b/>
        <vertAlign val="subscript"/>
        <sz val="10"/>
        <rFont val="Arial"/>
        <family val="2"/>
      </rPr>
      <t>f</t>
    </r>
  </si>
  <si>
    <t>Coef sécu filin dans toile</t>
  </si>
  <si>
    <t>Rapport entre diam drisse et diam filin</t>
  </si>
  <si>
    <r>
      <t>ø</t>
    </r>
    <r>
      <rPr>
        <vertAlign val="subscript"/>
        <sz val="10"/>
        <rFont val="Arial"/>
        <family val="2"/>
      </rPr>
      <t xml:space="preserve">f </t>
    </r>
  </si>
  <si>
    <r>
      <t>H</t>
    </r>
    <r>
      <rPr>
        <b/>
        <vertAlign val="subscript"/>
        <sz val="10"/>
        <rFont val="Arial"/>
        <family val="2"/>
      </rPr>
      <t>f</t>
    </r>
  </si>
  <si>
    <t>Dénivelé en m de filin dans toile</t>
  </si>
  <si>
    <r>
      <t>ø</t>
    </r>
    <r>
      <rPr>
        <vertAlign val="subscript"/>
        <sz val="10"/>
        <rFont val="Arial"/>
        <family val="2"/>
      </rPr>
      <t>d</t>
    </r>
  </si>
  <si>
    <r>
      <t>H</t>
    </r>
    <r>
      <rPr>
        <vertAlign val="subscript"/>
        <sz val="10"/>
        <rFont val="Arial"/>
        <family val="2"/>
      </rPr>
      <t>d</t>
    </r>
  </si>
  <si>
    <t>A1</t>
  </si>
  <si>
    <t>B1</t>
  </si>
  <si>
    <r>
      <t>m</t>
    </r>
    <r>
      <rPr>
        <vertAlign val="subscript"/>
        <sz val="10"/>
        <rFont val="Arial"/>
        <family val="2"/>
      </rPr>
      <t>d</t>
    </r>
  </si>
  <si>
    <t>C1</t>
  </si>
  <si>
    <r>
      <t>∆'</t>
    </r>
    <r>
      <rPr>
        <sz val="10"/>
        <rFont val="Arial"/>
        <family val="2"/>
      </rPr>
      <t>1/2</t>
    </r>
  </si>
  <si>
    <r>
      <t>∆</t>
    </r>
    <r>
      <rPr>
        <sz val="10"/>
        <rFont val="Arial"/>
        <family val="2"/>
      </rPr>
      <t>1/2</t>
    </r>
  </si>
  <si>
    <t>Ver 3</t>
  </si>
  <si>
    <t>Ver 2</t>
  </si>
  <si>
    <t>Ver4</t>
  </si>
  <si>
    <t>Ver 5</t>
  </si>
  <si>
    <r>
      <t>X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D</t>
    </r>
  </si>
  <si>
    <t>Ver 6</t>
  </si>
  <si>
    <t>Ver 7</t>
  </si>
  <si>
    <t>Ver 8</t>
  </si>
  <si>
    <t>y</t>
  </si>
  <si>
    <t>Diam câble de drisse mm</t>
  </si>
  <si>
    <t>Dénivelé de drisse en m</t>
  </si>
  <si>
    <t>Effort horiz en A et B  Kgf</t>
  </si>
  <si>
    <t>l+</t>
  </si>
  <si>
    <t>Supplément larg toile assemblage  m</t>
  </si>
  <si>
    <t>Largeur utile de toile en m</t>
  </si>
  <si>
    <t>Rapt entre diam câble bras et drisse</t>
  </si>
  <si>
    <t>Effort horiz en C et D  Kgf</t>
  </si>
  <si>
    <r>
      <t>K</t>
    </r>
    <r>
      <rPr>
        <vertAlign val="subscript"/>
        <sz val="10"/>
        <rFont val="Arial"/>
        <family val="2"/>
      </rPr>
      <t>br</t>
    </r>
  </si>
  <si>
    <t>masse cable drisse Kg/m</t>
  </si>
  <si>
    <t>Grand diamètre de calculs en m</t>
  </si>
  <si>
    <t>Z1</t>
  </si>
  <si>
    <t>Z2</t>
  </si>
  <si>
    <t>Z3</t>
  </si>
  <si>
    <t>Z4</t>
  </si>
  <si>
    <t>masse du filin en Kg/m</t>
  </si>
  <si>
    <t>Ver 10</t>
  </si>
  <si>
    <t>Ver11</t>
  </si>
  <si>
    <t>Diam filin dans toile mm</t>
  </si>
  <si>
    <r>
      <t>X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F</t>
    </r>
  </si>
  <si>
    <r>
      <t>Y</t>
    </r>
    <r>
      <rPr>
        <b/>
        <vertAlign val="subscript"/>
        <sz val="10"/>
        <rFont val="Arial"/>
        <family val="2"/>
      </rPr>
      <t>F</t>
    </r>
  </si>
  <si>
    <r>
      <t>R</t>
    </r>
    <r>
      <rPr>
        <sz val="10"/>
        <rFont val="Arial"/>
        <family val="2"/>
      </rPr>
      <t>T</t>
    </r>
  </si>
  <si>
    <t>SORTIES</t>
  </si>
  <si>
    <t>Diamètre bras en mm</t>
  </si>
  <si>
    <r>
      <t>ø</t>
    </r>
    <r>
      <rPr>
        <vertAlign val="subscript"/>
        <sz val="10"/>
        <rFont val="Arial"/>
        <family val="2"/>
      </rPr>
      <t>br</t>
    </r>
  </si>
  <si>
    <r>
      <t>M</t>
    </r>
    <r>
      <rPr>
        <sz val="10"/>
        <rFont val="Arial"/>
        <family val="2"/>
      </rPr>
      <t>TT</t>
    </r>
  </si>
  <si>
    <t>N</t>
  </si>
  <si>
    <t>Nb de mâts de l'amphithéâtre étudié</t>
  </si>
  <si>
    <r>
      <t>M/</t>
    </r>
    <r>
      <rPr>
        <sz val="10"/>
        <rFont val="Arial"/>
        <family val="2"/>
      </rPr>
      <t>m2</t>
    </r>
  </si>
  <si>
    <t>Pente au point bas de filin dans toile</t>
  </si>
  <si>
    <t>E</t>
  </si>
  <si>
    <t>Mod elast Kg/mm2 des bois de mâts</t>
  </si>
  <si>
    <r>
      <t>R</t>
    </r>
    <r>
      <rPr>
        <vertAlign val="subscript"/>
        <sz val="10"/>
        <rFont val="Arial"/>
        <family val="2"/>
      </rPr>
      <t>m</t>
    </r>
  </si>
  <si>
    <t>Résist du bois des mâts Kgf/mm2</t>
  </si>
  <si>
    <t>Coef sécu souhaité pour mâts</t>
  </si>
  <si>
    <r>
      <t>K</t>
    </r>
    <r>
      <rPr>
        <vertAlign val="subscript"/>
        <sz val="10"/>
        <rFont val="Arial"/>
        <family val="2"/>
      </rPr>
      <t>r m</t>
    </r>
  </si>
  <si>
    <t>Plus petite larg entre bras sur anneau</t>
  </si>
  <si>
    <t>Effort vertical en B en Kgf</t>
  </si>
  <si>
    <t>Effort vertical en C en Kgf</t>
  </si>
  <si>
    <t>Effort vertical en D en Kgf</t>
  </si>
  <si>
    <t>Effort vertical en F en Kgf</t>
  </si>
  <si>
    <t>Diamètre mât en mm</t>
  </si>
  <si>
    <t>Effort vertical en A en Kgf</t>
  </si>
  <si>
    <r>
      <t>Y</t>
    </r>
    <r>
      <rPr>
        <b/>
        <vertAlign val="subscript"/>
        <sz val="10"/>
        <rFont val="Arial"/>
        <family val="2"/>
      </rPr>
      <t>D</t>
    </r>
  </si>
  <si>
    <r>
      <t>Y</t>
    </r>
    <r>
      <rPr>
        <vertAlign val="subscript"/>
        <sz val="10"/>
        <rFont val="Arial"/>
        <family val="2"/>
      </rPr>
      <t>C</t>
    </r>
  </si>
  <si>
    <t>w</t>
  </si>
  <si>
    <r>
      <t>h</t>
    </r>
    <r>
      <rPr>
        <b/>
        <vertAlign val="subscript"/>
        <sz val="10"/>
        <rFont val="Arial"/>
        <family val="2"/>
      </rPr>
      <t>br</t>
    </r>
  </si>
  <si>
    <t>Eff horiz en E et Fen Kgf</t>
  </si>
  <si>
    <t>Coef séc bras toile tendue</t>
  </si>
  <si>
    <r>
      <t>ø</t>
    </r>
    <r>
      <rPr>
        <vertAlign val="subscript"/>
        <sz val="12"/>
        <rFont val="Arial"/>
        <family val="2"/>
      </rPr>
      <t>a</t>
    </r>
  </si>
  <si>
    <t>Diam câble d'anneau mm</t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</si>
  <si>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1</t>
    </r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</si>
  <si>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</si>
  <si>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add</t>
    </r>
    <r>
      <rPr>
        <sz val="10"/>
        <rFont val="Arial"/>
        <family val="2"/>
      </rPr>
      <t>1</t>
    </r>
  </si>
  <si>
    <r>
      <t>M</t>
    </r>
    <r>
      <rPr>
        <vertAlign val="subscript"/>
        <sz val="10"/>
        <rFont val="Arial"/>
        <family val="2"/>
      </rPr>
      <t>add</t>
    </r>
    <r>
      <rPr>
        <sz val="10"/>
        <rFont val="Arial"/>
        <family val="2"/>
      </rPr>
      <t>2</t>
    </r>
  </si>
  <si>
    <r>
      <t>Y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'</t>
    </r>
  </si>
  <si>
    <r>
      <t>K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'</t>
    </r>
  </si>
  <si>
    <r>
      <t>K</t>
    </r>
    <r>
      <rPr>
        <b/>
        <vertAlign val="subscript"/>
        <sz val="10"/>
        <rFont val="Arial"/>
        <family val="2"/>
      </rPr>
      <t>br</t>
    </r>
    <r>
      <rPr>
        <b/>
        <sz val="10"/>
        <rFont val="Arial"/>
        <family val="2"/>
      </rPr>
      <t>'</t>
    </r>
  </si>
  <si>
    <t>Ver15</t>
  </si>
  <si>
    <r>
      <t>M</t>
    </r>
    <r>
      <rPr>
        <sz val="10"/>
        <rFont val="Arial"/>
        <family val="2"/>
      </rPr>
      <t>T1</t>
    </r>
  </si>
  <si>
    <r>
      <t>M</t>
    </r>
    <r>
      <rPr>
        <sz val="10"/>
        <rFont val="Arial"/>
        <family val="2"/>
      </rPr>
      <t>T2</t>
    </r>
  </si>
  <si>
    <r>
      <t>M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a</t>
    </r>
  </si>
  <si>
    <r>
      <t>L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a</t>
    </r>
  </si>
  <si>
    <t>Long totale d'anneau m</t>
  </si>
  <si>
    <t>Masse totale anneau Kg</t>
  </si>
  <si>
    <r>
      <t>M</t>
    </r>
    <r>
      <rPr>
        <sz val="10"/>
        <rFont val="Arial"/>
        <family val="2"/>
      </rPr>
      <t>TV</t>
    </r>
  </si>
  <si>
    <t>Masse totale de toile Kg</t>
  </si>
  <si>
    <t>Masse totale du velum Kg</t>
  </si>
  <si>
    <r>
      <t>ø</t>
    </r>
    <r>
      <rPr>
        <sz val="10"/>
        <rFont val="Arial"/>
        <family val="2"/>
      </rPr>
      <t>m</t>
    </r>
  </si>
  <si>
    <t>Coef séc ann toile repliée</t>
  </si>
  <si>
    <t>Masse additive grand arc</t>
  </si>
  <si>
    <t>Masse additive petit arc</t>
  </si>
  <si>
    <r>
      <t>T</t>
    </r>
    <r>
      <rPr>
        <sz val="10"/>
        <rFont val="Arial"/>
        <family val="2"/>
      </rPr>
      <t>d</t>
    </r>
    <r>
      <rPr>
        <b/>
        <sz val="10"/>
        <rFont val="Arial"/>
        <family val="2"/>
      </rPr>
      <t>C</t>
    </r>
  </si>
  <si>
    <t>Dist en m de haut de toile à bras</t>
  </si>
  <si>
    <t>Coef séc câble d'anneau toile tendue</t>
  </si>
  <si>
    <r>
      <t>ø</t>
    </r>
    <r>
      <rPr>
        <vertAlign val="subscript"/>
        <sz val="12"/>
        <rFont val="Arial"/>
        <family val="2"/>
      </rPr>
      <t xml:space="preserve">f </t>
    </r>
  </si>
  <si>
    <r>
      <t>ø</t>
    </r>
    <r>
      <rPr>
        <vertAlign val="subscript"/>
        <sz val="12"/>
        <rFont val="Arial"/>
        <family val="2"/>
      </rPr>
      <t>d</t>
    </r>
    <r>
      <rPr>
        <sz val="14"/>
        <rFont val="Arial"/>
        <family val="2"/>
      </rPr>
      <t xml:space="preserve"> </t>
    </r>
  </si>
  <si>
    <r>
      <t>ø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</t>
    </r>
  </si>
  <si>
    <t>Coef séc mini du bras</t>
  </si>
  <si>
    <r>
      <t>Rapport entre X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et X</t>
    </r>
    <r>
      <rPr>
        <vertAlign val="subscript"/>
        <sz val="10"/>
        <rFont val="Arial"/>
        <family val="2"/>
      </rPr>
      <t>D</t>
    </r>
  </si>
  <si>
    <t>Largeur projetée de la toile</t>
  </si>
  <si>
    <t>Longueur de rectangle de toile</t>
  </si>
  <si>
    <t>L'</t>
  </si>
  <si>
    <t>L</t>
  </si>
  <si>
    <t>Longueur de drisse</t>
  </si>
  <si>
    <t>Longueur de bras</t>
  </si>
  <si>
    <t>Plus grande larg entre bras sur anneau</t>
  </si>
  <si>
    <r>
      <t>L</t>
    </r>
    <r>
      <rPr>
        <vertAlign val="subscript"/>
        <sz val="10"/>
        <rFont val="Arial"/>
        <family val="2"/>
      </rPr>
      <t>t</t>
    </r>
  </si>
  <si>
    <r>
      <t>L</t>
    </r>
    <r>
      <rPr>
        <vertAlign val="subscript"/>
        <sz val="10"/>
        <rFont val="Arial"/>
        <family val="2"/>
      </rPr>
      <t>b</t>
    </r>
  </si>
  <si>
    <r>
      <t>l</t>
    </r>
    <r>
      <rPr>
        <sz val="10"/>
        <rFont val="Arial"/>
        <family val="2"/>
      </rPr>
      <t>a</t>
    </r>
    <r>
      <rPr>
        <b/>
        <sz val="10"/>
        <rFont val="Arial"/>
        <family val="2"/>
      </rPr>
      <t>1</t>
    </r>
  </si>
  <si>
    <r>
      <t>l</t>
    </r>
    <r>
      <rPr>
        <sz val="10"/>
        <rFont val="Arial"/>
        <family val="2"/>
      </rPr>
      <t>a</t>
    </r>
    <r>
      <rPr>
        <b/>
        <sz val="10"/>
        <rFont val="Arial"/>
        <family val="2"/>
      </rPr>
      <t>2</t>
    </r>
  </si>
  <si>
    <t>Long projetée de la drisse</t>
  </si>
  <si>
    <r>
      <t>T</t>
    </r>
    <r>
      <rPr>
        <vertAlign val="subscript"/>
        <sz val="10"/>
        <rFont val="Arial"/>
        <family val="2"/>
      </rPr>
      <t>a</t>
    </r>
  </si>
  <si>
    <t>Tension de câble d'anneau en Kgf</t>
  </si>
  <si>
    <r>
      <t>m</t>
    </r>
    <r>
      <rPr>
        <vertAlign val="subscript"/>
        <sz val="10"/>
        <rFont val="Arial"/>
        <family val="2"/>
      </rPr>
      <t>a</t>
    </r>
  </si>
  <si>
    <t>Masse câble anneau Kg/m</t>
  </si>
  <si>
    <t>Effort de manœuvre Kgf</t>
  </si>
  <si>
    <r>
      <t>Surface couverte en m</t>
    </r>
    <r>
      <rPr>
        <vertAlign val="superscript"/>
        <sz val="10"/>
        <rFont val="Arial"/>
        <family val="2"/>
      </rPr>
      <t>2</t>
    </r>
  </si>
  <si>
    <t>α</t>
  </si>
  <si>
    <t>β</t>
  </si>
  <si>
    <t>Long totale câble de drisse</t>
  </si>
  <si>
    <r>
      <t>L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d</t>
    </r>
  </si>
  <si>
    <r>
      <t>L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b</t>
    </r>
  </si>
  <si>
    <t>Long totale câble de bras</t>
  </si>
  <si>
    <t>Sc</t>
  </si>
  <si>
    <t>Su</t>
  </si>
  <si>
    <t>Dist mâts virt/grand cercle</t>
  </si>
  <si>
    <t>Dist mâts virt/petit cercle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</si>
  <si>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</si>
  <si>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</si>
  <si>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</si>
  <si>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2</t>
    </r>
  </si>
  <si>
    <r>
      <t xml:space="preserve">Nb de mâts sur </t>
    </r>
    <r>
      <rPr>
        <b/>
        <sz val="10"/>
        <rFont val="Arial"/>
        <family val="2"/>
      </rP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ci dessus</t>
    </r>
  </si>
  <si>
    <r>
      <t xml:space="preserve">Nb de mâts sur </t>
    </r>
    <r>
      <rPr>
        <b/>
        <sz val="10"/>
        <rFont val="Arial"/>
        <family val="2"/>
      </rP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ci dessus</t>
    </r>
  </si>
  <si>
    <t>M anneau entr bras gr arc</t>
  </si>
  <si>
    <t>M anneau entr bras pet arc</t>
  </si>
  <si>
    <t>Eff vert sur mât toile tendue</t>
  </si>
  <si>
    <r>
      <t>X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'=X</t>
    </r>
    <r>
      <rPr>
        <b/>
        <vertAlign val="subscript"/>
        <sz val="10"/>
        <rFont val="Arial"/>
        <family val="2"/>
      </rPr>
      <t>E</t>
    </r>
  </si>
  <si>
    <t>Eff hor sur mât toile tendue</t>
  </si>
  <si>
    <r>
      <t xml:space="preserve">   Calculs numériques assistés par ordinateur pour velum d'amphithéâtres romains - René CHAMBON.                                                                                                              </t>
    </r>
    <r>
      <rPr>
        <sz val="12"/>
        <rFont val="Arial"/>
        <family val="2"/>
      </rPr>
      <t xml:space="preserve">                                                                  
      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COLISEE avec galerie supérieure.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</t>
    </r>
    <r>
      <rPr>
        <b/>
        <sz val="14"/>
        <rFont val="Arial"/>
        <family val="2"/>
      </rPr>
      <t xml:space="preserve">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             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</si>
</sst>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Vrai&quot;;&quot;Vrai&quot;;&quot;Faux&quot;"/>
    <numFmt numFmtId="170" formatCode="&quot;Actif&quot;;&quot;Actif&quot;;&quot;Inactif&quot;"/>
    <numFmt numFmtId="171" formatCode="0.0000000000"/>
    <numFmt numFmtId="172" formatCode="0.000000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vertAlign val="subscript"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wrapText="1" shrinkToFit="1"/>
    </xf>
    <xf numFmtId="0" fontId="0" fillId="0" borderId="7" xfId="0" applyBorder="1" applyAlignment="1">
      <alignment/>
    </xf>
    <xf numFmtId="0" fontId="0" fillId="0" borderId="6" xfId="0" applyBorder="1" applyAlignment="1">
      <alignment vertical="center" wrapText="1" shrinkToFit="1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left" vertical="center" wrapText="1" shrinkToFit="1"/>
    </xf>
    <xf numFmtId="164" fontId="0" fillId="0" borderId="6" xfId="0" applyNumberForma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4" xfId="0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1" fillId="0" borderId="6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 shrinkToFit="1"/>
    </xf>
    <xf numFmtId="2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1" fontId="0" fillId="0" borderId="25" xfId="0" applyNumberForma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64" fontId="0" fillId="0" borderId="27" xfId="0" applyNumberForma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 shrinkToFit="1"/>
    </xf>
    <xf numFmtId="1" fontId="0" fillId="0" borderId="1" xfId="0" applyNumberFormat="1" applyBorder="1" applyAlignment="1">
      <alignment horizontal="center" vertical="center" wrapText="1" shrinkToFit="1"/>
    </xf>
    <xf numFmtId="2" fontId="0" fillId="0" borderId="28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8" fontId="1" fillId="0" borderId="14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40" xfId="0" applyFont="1" applyBorder="1" applyAlignment="1">
      <alignment horizontal="left" vertical="distributed" wrapText="1" indent="1"/>
    </xf>
    <xf numFmtId="0" fontId="0" fillId="0" borderId="41" xfId="0" applyFont="1" applyBorder="1" applyAlignment="1">
      <alignment horizontal="left" vertical="distributed" wrapText="1" indent="1"/>
    </xf>
    <xf numFmtId="0" fontId="0" fillId="0" borderId="41" xfId="0" applyFont="1" applyBorder="1" applyAlignment="1">
      <alignment horizontal="left" vertical="distributed" indent="1"/>
    </xf>
    <xf numFmtId="0" fontId="0" fillId="0" borderId="42" xfId="0" applyFont="1" applyBorder="1" applyAlignment="1">
      <alignment horizontal="left" vertical="distributed" indent="1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4.7109375" style="0" customWidth="1"/>
    <col min="2" max="2" width="32.7109375" style="0" customWidth="1"/>
    <col min="3" max="3" width="6.8515625" style="0" customWidth="1"/>
    <col min="4" max="4" width="6.7109375" style="0" customWidth="1"/>
    <col min="5" max="6" width="11.421875" style="0" hidden="1" customWidth="1"/>
    <col min="7" max="7" width="23.421875" style="0" customWidth="1"/>
    <col min="8" max="8" width="6.7109375" style="0" customWidth="1"/>
    <col min="9" max="9" width="5.7109375" style="0" customWidth="1"/>
    <col min="10" max="10" width="0.85546875" style="0" customWidth="1"/>
    <col min="11" max="11" width="8.7109375" style="0" customWidth="1"/>
    <col min="12" max="12" width="5.7109375" style="0" customWidth="1"/>
    <col min="13" max="13" width="19.140625" style="0" customWidth="1"/>
    <col min="14" max="14" width="9.7109375" style="0" customWidth="1"/>
    <col min="15" max="15" width="12.421875" style="0" bestFit="1" customWidth="1"/>
  </cols>
  <sheetData>
    <row r="1" spans="1:11" ht="39.75" customHeight="1">
      <c r="A1" s="147" t="s">
        <v>174</v>
      </c>
      <c r="B1" s="148"/>
      <c r="C1" s="148"/>
      <c r="D1" s="148"/>
      <c r="E1" s="148"/>
      <c r="F1" s="148"/>
      <c r="G1" s="148"/>
      <c r="H1" s="148"/>
      <c r="I1" s="149"/>
      <c r="J1" s="149"/>
      <c r="K1" s="150"/>
    </row>
    <row r="2" spans="1:14" ht="22.5" customHeight="1">
      <c r="A2" s="154" t="s">
        <v>1</v>
      </c>
      <c r="B2" s="155"/>
      <c r="C2" s="84" t="s">
        <v>0</v>
      </c>
      <c r="D2" s="156" t="s">
        <v>77</v>
      </c>
      <c r="E2" s="157"/>
      <c r="F2" s="157"/>
      <c r="G2" s="158"/>
      <c r="H2" s="85" t="s">
        <v>0</v>
      </c>
      <c r="I2" s="151"/>
      <c r="J2" s="152"/>
      <c r="K2" s="153"/>
      <c r="L2" s="30"/>
      <c r="M2" s="30"/>
      <c r="N2" s="39"/>
    </row>
    <row r="3" spans="1:14" ht="19.5" customHeight="1">
      <c r="A3" s="2" t="s">
        <v>163</v>
      </c>
      <c r="B3" s="40" t="s">
        <v>65</v>
      </c>
      <c r="C3" s="92">
        <v>200</v>
      </c>
      <c r="D3" s="80" t="s">
        <v>3</v>
      </c>
      <c r="E3" s="93"/>
      <c r="F3" s="93"/>
      <c r="G3" s="86" t="s">
        <v>161</v>
      </c>
      <c r="H3" s="97">
        <f>C3*(SIN((PI())/C5))</f>
        <v>2.000981045124658</v>
      </c>
      <c r="I3" s="91" t="s">
        <v>7</v>
      </c>
      <c r="J3" s="82"/>
      <c r="K3" s="95">
        <f>((10^3)*C14)/(C17*C16)</f>
        <v>1629.6296296296296</v>
      </c>
      <c r="L3" s="30"/>
      <c r="M3" s="30"/>
      <c r="N3" s="39"/>
    </row>
    <row r="4" spans="1:14" ht="19.5" customHeight="1">
      <c r="A4" s="3" t="s">
        <v>164</v>
      </c>
      <c r="B4" s="40" t="s">
        <v>2</v>
      </c>
      <c r="C4" s="81">
        <v>120</v>
      </c>
      <c r="D4" s="80" t="s">
        <v>4</v>
      </c>
      <c r="E4" s="93"/>
      <c r="F4" s="93"/>
      <c r="G4" s="86" t="s">
        <v>162</v>
      </c>
      <c r="H4" s="97">
        <f>C4*SIN((PI())/C6)</f>
        <v>2.0051785811161147</v>
      </c>
      <c r="I4" s="91" t="s">
        <v>66</v>
      </c>
      <c r="J4" s="82"/>
      <c r="K4" s="95">
        <f>(((C8*C32)*(1+(C19^2)))/(2*(C11-(C10*C8))))</f>
        <v>206.89655172413794</v>
      </c>
      <c r="L4" s="30"/>
      <c r="M4" s="30"/>
      <c r="N4" s="39"/>
    </row>
    <row r="5" spans="1:14" ht="19.5" customHeight="1">
      <c r="A5" s="2" t="s">
        <v>165</v>
      </c>
      <c r="B5" s="40" t="s">
        <v>167</v>
      </c>
      <c r="C5" s="81">
        <v>314</v>
      </c>
      <c r="D5" s="80" t="s">
        <v>8</v>
      </c>
      <c r="E5" s="93"/>
      <c r="F5" s="93"/>
      <c r="G5" s="40" t="s">
        <v>60</v>
      </c>
      <c r="H5" s="97">
        <f>H4+C23</f>
        <v>2.1051785811161148</v>
      </c>
      <c r="I5" s="91" t="s">
        <v>67</v>
      </c>
      <c r="J5" s="82"/>
      <c r="K5" s="95">
        <f>((C7*H5*(C32*C8))/(2*(C11-(C10*C8))))</f>
        <v>65.33312837946563</v>
      </c>
      <c r="L5" s="111"/>
      <c r="M5" s="30"/>
      <c r="N5" s="39"/>
    </row>
    <row r="6" spans="1:15" ht="19.5" customHeight="1">
      <c r="A6" s="2" t="s">
        <v>166</v>
      </c>
      <c r="B6" s="40" t="s">
        <v>168</v>
      </c>
      <c r="C6" s="81">
        <v>188</v>
      </c>
      <c r="D6" s="80" t="s">
        <v>31</v>
      </c>
      <c r="E6" s="93"/>
      <c r="F6" s="93"/>
      <c r="G6" s="40" t="s">
        <v>70</v>
      </c>
      <c r="H6" s="94">
        <f>(-K12-K14)/(2*K11)</f>
        <v>0.05307270058947071</v>
      </c>
      <c r="I6" s="91" t="s">
        <v>68</v>
      </c>
      <c r="J6" s="82"/>
      <c r="K6" s="95">
        <f>(C10*K4)+(C32*(1+(C19^2)))</f>
        <v>110.34482758620689</v>
      </c>
      <c r="L6" s="109"/>
      <c r="M6" s="106"/>
      <c r="N6" s="39"/>
      <c r="O6" s="30"/>
    </row>
    <row r="7" spans="1:15" ht="19.5" customHeight="1">
      <c r="A7" s="2" t="s">
        <v>11</v>
      </c>
      <c r="B7" s="40" t="s">
        <v>12</v>
      </c>
      <c r="C7" s="94">
        <v>0.3</v>
      </c>
      <c r="D7" s="80" t="s">
        <v>14</v>
      </c>
      <c r="E7" s="93"/>
      <c r="F7" s="93"/>
      <c r="G7" s="40" t="s">
        <v>57</v>
      </c>
      <c r="H7" s="81">
        <f>(K4*H6)+K5</f>
        <v>76.31368712211474</v>
      </c>
      <c r="I7" s="91" t="s">
        <v>69</v>
      </c>
      <c r="J7" s="82"/>
      <c r="K7" s="95">
        <f>(C10*K5)+(C7*H5*C32)</f>
        <v>34.844335135715</v>
      </c>
      <c r="L7" s="116"/>
      <c r="M7" s="39"/>
      <c r="N7" s="39"/>
      <c r="O7" s="30"/>
    </row>
    <row r="8" spans="1:15" ht="19.5" customHeight="1">
      <c r="A8" s="2" t="s">
        <v>138</v>
      </c>
      <c r="B8" s="40" t="s">
        <v>135</v>
      </c>
      <c r="C8" s="97">
        <v>48</v>
      </c>
      <c r="D8" s="80" t="s">
        <v>15</v>
      </c>
      <c r="E8" s="93"/>
      <c r="F8" s="93"/>
      <c r="G8" s="86" t="s">
        <v>97</v>
      </c>
      <c r="H8" s="96">
        <f>(K6*H6)+K7</f>
        <v>40.700633131794525</v>
      </c>
      <c r="I8" s="142" t="s">
        <v>153</v>
      </c>
      <c r="J8" s="82"/>
      <c r="K8" s="98">
        <f>ASIN(3/5)</f>
        <v>0.6435011087932844</v>
      </c>
      <c r="L8" s="39"/>
      <c r="M8" s="39"/>
      <c r="N8" s="112"/>
      <c r="O8" s="39"/>
    </row>
    <row r="9" spans="1:15" ht="19.5" customHeight="1">
      <c r="A9" s="2" t="s">
        <v>5</v>
      </c>
      <c r="B9" s="40" t="s">
        <v>19</v>
      </c>
      <c r="C9" s="97">
        <v>0.5</v>
      </c>
      <c r="D9" s="80" t="s">
        <v>16</v>
      </c>
      <c r="E9" s="93"/>
      <c r="F9" s="93"/>
      <c r="G9" s="86" t="s">
        <v>92</v>
      </c>
      <c r="H9" s="96">
        <f>C10*H7</f>
        <v>3.8156843561057374</v>
      </c>
      <c r="I9" s="142" t="s">
        <v>154</v>
      </c>
      <c r="J9" s="82"/>
      <c r="K9" s="98">
        <f>ASIN(4/5)</f>
        <v>0.9272952180016123</v>
      </c>
      <c r="L9" s="39"/>
      <c r="M9" s="39"/>
      <c r="N9" s="112"/>
      <c r="O9" s="39"/>
    </row>
    <row r="10" spans="1:15" ht="19.5" customHeight="1">
      <c r="A10" s="2" t="s">
        <v>20</v>
      </c>
      <c r="B10" s="40" t="s">
        <v>84</v>
      </c>
      <c r="C10" s="94">
        <v>0.05</v>
      </c>
      <c r="D10" s="104" t="s">
        <v>35</v>
      </c>
      <c r="E10" s="93"/>
      <c r="F10" s="93"/>
      <c r="G10" s="86" t="s">
        <v>73</v>
      </c>
      <c r="H10" s="96">
        <f>((4*(10^3)*H6)/((PI())*C16))^(1/2)</f>
        <v>8.665016582429686</v>
      </c>
      <c r="I10" s="91"/>
      <c r="J10" s="82"/>
      <c r="K10" s="95"/>
      <c r="L10" s="116"/>
      <c r="M10" s="118"/>
      <c r="N10" s="117"/>
      <c r="O10" s="39"/>
    </row>
    <row r="11" spans="1:15" ht="19.5" customHeight="1">
      <c r="A11" s="2" t="s">
        <v>36</v>
      </c>
      <c r="B11" s="40" t="s">
        <v>37</v>
      </c>
      <c r="C11" s="97">
        <v>14</v>
      </c>
      <c r="D11" s="104" t="s">
        <v>38</v>
      </c>
      <c r="E11" s="93"/>
      <c r="F11" s="93"/>
      <c r="G11" s="86" t="s">
        <v>55</v>
      </c>
      <c r="H11" s="96">
        <f>H10*C19</f>
        <v>8.665016582429686</v>
      </c>
      <c r="I11" s="91" t="s">
        <v>9</v>
      </c>
      <c r="J11" s="82"/>
      <c r="K11" s="95">
        <f>(K4^2)+(K6^2)-(K3^2)</f>
        <v>-2600710.5656764354</v>
      </c>
      <c r="L11" s="39"/>
      <c r="M11" s="39"/>
      <c r="N11" s="116"/>
      <c r="O11" s="39"/>
    </row>
    <row r="12" spans="1:15" ht="19.5" customHeight="1">
      <c r="A12" s="2" t="s">
        <v>21</v>
      </c>
      <c r="B12" s="40" t="s">
        <v>22</v>
      </c>
      <c r="C12" s="97">
        <v>0</v>
      </c>
      <c r="D12" s="80" t="s">
        <v>137</v>
      </c>
      <c r="E12" s="93"/>
      <c r="F12" s="93"/>
      <c r="G12" s="86" t="s">
        <v>146</v>
      </c>
      <c r="H12" s="96">
        <f>C8+C9</f>
        <v>48.5</v>
      </c>
      <c r="I12" s="91" t="s">
        <v>10</v>
      </c>
      <c r="J12" s="82"/>
      <c r="K12" s="95">
        <f>(2*((K4*K5)+(K6*K7)))</f>
        <v>34724.18225593668</v>
      </c>
      <c r="L12" s="39"/>
      <c r="M12" s="39"/>
      <c r="N12" s="116"/>
      <c r="O12" s="39"/>
    </row>
    <row r="13" spans="1:15" ht="19.5" customHeight="1">
      <c r="A13" s="2" t="s">
        <v>101</v>
      </c>
      <c r="B13" s="40" t="s">
        <v>128</v>
      </c>
      <c r="C13" s="97">
        <v>6</v>
      </c>
      <c r="D13" s="80" t="s">
        <v>39</v>
      </c>
      <c r="E13" s="93"/>
      <c r="F13" s="93"/>
      <c r="G13" s="40" t="s">
        <v>56</v>
      </c>
      <c r="H13" s="97">
        <f>C11+C12</f>
        <v>14</v>
      </c>
      <c r="I13" s="91" t="s">
        <v>13</v>
      </c>
      <c r="J13" s="82"/>
      <c r="K13" s="95">
        <f>(K5^2)+(K7^2)</f>
        <v>5482.54535489776</v>
      </c>
      <c r="L13" s="39"/>
      <c r="M13" s="39"/>
      <c r="N13" s="39"/>
      <c r="O13" s="39"/>
    </row>
    <row r="14" spans="1:15" ht="19.5" customHeight="1">
      <c r="A14" s="2" t="s">
        <v>23</v>
      </c>
      <c r="B14" s="40" t="s">
        <v>24</v>
      </c>
      <c r="C14" s="96">
        <v>8.8</v>
      </c>
      <c r="D14" s="80" t="s">
        <v>42</v>
      </c>
      <c r="E14" s="93"/>
      <c r="F14" s="93"/>
      <c r="G14" s="40" t="s">
        <v>64</v>
      </c>
      <c r="H14" s="94">
        <f>(C19^2)*H6</f>
        <v>0.05307270058947071</v>
      </c>
      <c r="I14" s="91" t="s">
        <v>45</v>
      </c>
      <c r="J14" s="82"/>
      <c r="K14" s="95">
        <f>(((K12^2)-(4*K11*K13))^(1/2))</f>
        <v>241329.28408810022</v>
      </c>
      <c r="L14" s="39"/>
      <c r="M14" s="39"/>
      <c r="N14" s="39"/>
      <c r="O14" s="39"/>
    </row>
    <row r="15" spans="1:15" ht="19.5" customHeight="1">
      <c r="A15" s="2"/>
      <c r="B15" s="40"/>
      <c r="C15" s="81"/>
      <c r="D15" s="80" t="s">
        <v>50</v>
      </c>
      <c r="E15" s="93"/>
      <c r="F15" s="93"/>
      <c r="G15" s="40" t="s">
        <v>62</v>
      </c>
      <c r="H15" s="81">
        <f>(-K16+K18)/(2*K15)</f>
        <v>73.75823269077901</v>
      </c>
      <c r="I15" s="91" t="s">
        <v>40</v>
      </c>
      <c r="J15" s="99"/>
      <c r="K15" s="98">
        <f>1+((H13/H12)^2)</f>
        <v>1.083324476564991</v>
      </c>
      <c r="L15" s="39"/>
      <c r="M15" s="39"/>
      <c r="N15" s="116"/>
      <c r="O15" s="39"/>
    </row>
    <row r="16" spans="1:15" ht="19.5" customHeight="1">
      <c r="A16" s="2" t="s">
        <v>6</v>
      </c>
      <c r="B16" s="40" t="s">
        <v>25</v>
      </c>
      <c r="C16" s="96">
        <v>0.9</v>
      </c>
      <c r="D16" s="80" t="s">
        <v>98</v>
      </c>
      <c r="E16" s="93"/>
      <c r="F16" s="93"/>
      <c r="G16" s="40" t="s">
        <v>94</v>
      </c>
      <c r="H16" s="96">
        <f>(H15*(H13/H12))-((H14*C33)/2)</f>
        <v>19.951476126100264</v>
      </c>
      <c r="I16" s="91" t="s">
        <v>41</v>
      </c>
      <c r="J16" s="100"/>
      <c r="K16" s="98">
        <f>-((H13*H14*C33)/H12)</f>
        <v>-0.773354292928562</v>
      </c>
      <c r="L16" s="39"/>
      <c r="M16" s="39"/>
      <c r="N16" s="39"/>
      <c r="O16" s="30"/>
    </row>
    <row r="17" spans="1:15" ht="19.5" customHeight="1">
      <c r="A17" s="2" t="s">
        <v>32</v>
      </c>
      <c r="B17" s="40" t="s">
        <v>33</v>
      </c>
      <c r="C17" s="96">
        <v>6</v>
      </c>
      <c r="D17" s="80" t="s">
        <v>99</v>
      </c>
      <c r="E17" s="93"/>
      <c r="F17" s="93"/>
      <c r="G17" s="40" t="s">
        <v>93</v>
      </c>
      <c r="H17" s="96">
        <f>H16+(H14*C33)</f>
        <v>22.630596355174212</v>
      </c>
      <c r="I17" s="107" t="s">
        <v>43</v>
      </c>
      <c r="J17" s="93"/>
      <c r="K17" s="95">
        <f>(((H14*C33)^2)/4)-(H7^2)-(H9^2)</f>
        <v>-5836.543867976993</v>
      </c>
      <c r="L17" s="39"/>
      <c r="M17" s="39"/>
      <c r="N17" s="116"/>
      <c r="O17" s="118"/>
    </row>
    <row r="18" spans="1:15" ht="19.5" customHeight="1">
      <c r="A18" s="2" t="s">
        <v>26</v>
      </c>
      <c r="B18" s="40" t="s">
        <v>129</v>
      </c>
      <c r="C18" s="96">
        <v>6</v>
      </c>
      <c r="D18" s="80" t="s">
        <v>74</v>
      </c>
      <c r="E18" s="93"/>
      <c r="F18" s="93"/>
      <c r="G18" s="86" t="s">
        <v>102</v>
      </c>
      <c r="H18" s="97">
        <f>C22*H15</f>
        <v>7.375823269077902</v>
      </c>
      <c r="I18" s="91" t="s">
        <v>44</v>
      </c>
      <c r="J18" s="93"/>
      <c r="K18" s="95">
        <f>((K16^2)-(4*K15*K17))^(1/2)</f>
        <v>159.0348433512654</v>
      </c>
      <c r="L18" s="39"/>
      <c r="M18" s="39"/>
      <c r="N18" s="39"/>
      <c r="O18" s="30"/>
    </row>
    <row r="19" spans="1:15" ht="19.5" customHeight="1">
      <c r="A19" s="2" t="s">
        <v>18</v>
      </c>
      <c r="B19" s="40" t="s">
        <v>34</v>
      </c>
      <c r="C19" s="96">
        <v>1</v>
      </c>
      <c r="D19" s="80" t="s">
        <v>75</v>
      </c>
      <c r="E19" s="93"/>
      <c r="F19" s="93"/>
      <c r="G19" s="40" t="s">
        <v>95</v>
      </c>
      <c r="H19" s="97">
        <f>((H18*(C11+C13))/H12)+(((C21^2)*H14*C34)/2)</f>
        <v>5.046268451196545</v>
      </c>
      <c r="I19" s="103" t="s">
        <v>47</v>
      </c>
      <c r="J19" s="38"/>
      <c r="K19" s="98">
        <f>H9-H8+(C7*H5*C32)+((H6*C32*((1+(C19^2)))))</f>
        <v>0</v>
      </c>
      <c r="L19" s="39"/>
      <c r="M19" s="39"/>
      <c r="N19" s="39"/>
      <c r="O19" s="30"/>
    </row>
    <row r="20" spans="1:16" ht="19.5" customHeight="1">
      <c r="A20" s="7" t="s">
        <v>29</v>
      </c>
      <c r="B20" s="40" t="s">
        <v>30</v>
      </c>
      <c r="C20" s="96">
        <v>2</v>
      </c>
      <c r="D20" s="80" t="s">
        <v>63</v>
      </c>
      <c r="E20" s="93"/>
      <c r="F20" s="93"/>
      <c r="G20" s="86" t="s">
        <v>103</v>
      </c>
      <c r="H20" s="96">
        <f>C14/((((H18^2)+(H19^2))^(1/2))/((PI())*(C21^2)*(H11^2)/4))</f>
        <v>83.61583685428072</v>
      </c>
      <c r="I20" s="103" t="s">
        <v>46</v>
      </c>
      <c r="J20" s="38"/>
      <c r="K20" s="98">
        <f>(H8*C8)-(H7*C11)-((C7*H5*(C8*C32))/2)-((H6*(C8*C32)*(1+(C19^2)))/2)</f>
        <v>0</v>
      </c>
      <c r="L20" s="39"/>
      <c r="M20" s="39"/>
      <c r="N20" s="112"/>
      <c r="O20" s="30"/>
      <c r="P20" s="122"/>
    </row>
    <row r="21" spans="1:15" ht="19.5" customHeight="1">
      <c r="A21" s="3" t="s">
        <v>54</v>
      </c>
      <c r="B21" s="40" t="s">
        <v>61</v>
      </c>
      <c r="C21" s="96">
        <v>1.2</v>
      </c>
      <c r="D21" s="104" t="s">
        <v>104</v>
      </c>
      <c r="E21" s="93"/>
      <c r="F21" s="93"/>
      <c r="G21" s="86" t="s">
        <v>105</v>
      </c>
      <c r="H21" s="96">
        <f>((4*(10^3)*C38)/((PI())*C16))^(1/2)</f>
        <v>82.64871029270292</v>
      </c>
      <c r="I21" s="103" t="s">
        <v>48</v>
      </c>
      <c r="J21" s="38"/>
      <c r="K21" s="98">
        <f>H9-(C10*H7)</f>
        <v>0</v>
      </c>
      <c r="L21" s="39"/>
      <c r="M21" s="39"/>
      <c r="N21" s="39"/>
      <c r="O21" s="108"/>
    </row>
    <row r="22" spans="1:15" ht="19.5" customHeight="1">
      <c r="A22" s="2" t="s">
        <v>100</v>
      </c>
      <c r="B22" s="86" t="s">
        <v>134</v>
      </c>
      <c r="C22" s="97">
        <v>0.1</v>
      </c>
      <c r="D22" s="80" t="s">
        <v>106</v>
      </c>
      <c r="E22" s="79"/>
      <c r="F22" s="79"/>
      <c r="G22" s="113" t="s">
        <v>169</v>
      </c>
      <c r="H22" s="96">
        <f>(10^-3)*((PI())*(H21^2)/4)*C35*C16</f>
        <v>4.975706517170039</v>
      </c>
      <c r="I22" s="103" t="s">
        <v>49</v>
      </c>
      <c r="J22" s="38"/>
      <c r="K22" s="98">
        <f>(H7^2)+(H8^2)-((((10^3)*C14*H6)/(C17*C16))^2)</f>
        <v>0</v>
      </c>
      <c r="L22" s="39"/>
      <c r="M22" s="39"/>
      <c r="N22" s="120"/>
      <c r="O22" s="30"/>
    </row>
    <row r="23" spans="1:15" ht="19.5" customHeight="1">
      <c r="A23" s="2" t="s">
        <v>58</v>
      </c>
      <c r="B23" s="40" t="s">
        <v>59</v>
      </c>
      <c r="C23" s="97">
        <v>0.1</v>
      </c>
      <c r="D23" s="80" t="s">
        <v>107</v>
      </c>
      <c r="E23" s="93"/>
      <c r="F23" s="93"/>
      <c r="G23" s="86" t="s">
        <v>170</v>
      </c>
      <c r="H23" s="96">
        <f>(10^-3)*(((PI())*(H21^2))/4)*C36*C16</f>
        <v>1.8556847535416305</v>
      </c>
      <c r="I23" s="103" t="s">
        <v>51</v>
      </c>
      <c r="J23" s="38"/>
      <c r="K23" s="98">
        <f>(H16^2)+(H15^2)-(H7^2)-(H9^2)</f>
        <v>-1.794120407794253E-12</v>
      </c>
      <c r="L23" s="39"/>
      <c r="M23" s="118"/>
      <c r="N23" s="39"/>
      <c r="O23" s="30"/>
    </row>
    <row r="24" spans="1:15" ht="19.5" customHeight="1">
      <c r="A24" s="2" t="s">
        <v>81</v>
      </c>
      <c r="B24" s="40" t="s">
        <v>82</v>
      </c>
      <c r="C24" s="81">
        <v>240</v>
      </c>
      <c r="D24" s="80" t="s">
        <v>108</v>
      </c>
      <c r="E24" s="93"/>
      <c r="F24" s="93"/>
      <c r="G24" s="86" t="s">
        <v>125</v>
      </c>
      <c r="H24" s="96">
        <f>H9+H16+H19-((C21^2)*H14*C34)-C20-H22-(H14*C9)</f>
        <v>17.801802375155326</v>
      </c>
      <c r="I24" s="103" t="s">
        <v>52</v>
      </c>
      <c r="J24" s="38"/>
      <c r="K24" s="98">
        <f>H16+(H14*C33)-H17</f>
        <v>0</v>
      </c>
      <c r="L24" s="39"/>
      <c r="M24" s="39"/>
      <c r="N24" s="39"/>
      <c r="O24" s="30"/>
    </row>
    <row r="25" spans="1:15" ht="19.5" customHeight="1">
      <c r="A25" s="2"/>
      <c r="B25" s="40"/>
      <c r="C25" s="101"/>
      <c r="D25" s="80" t="s">
        <v>109</v>
      </c>
      <c r="E25" s="102"/>
      <c r="F25" s="102"/>
      <c r="G25" s="86" t="s">
        <v>126</v>
      </c>
      <c r="H25" s="96">
        <f>H9+H16+H19-((C21^2)*H14*C34)-C20-H23-(H14*C9)</f>
        <v>20.921824138783734</v>
      </c>
      <c r="I25" s="103" t="s">
        <v>53</v>
      </c>
      <c r="J25" s="38"/>
      <c r="K25" s="98">
        <f>(H15*H13)-((H14*H12*C33)/2)-(H16*H12)</f>
        <v>0</v>
      </c>
      <c r="L25" s="39"/>
      <c r="M25" s="39"/>
      <c r="N25" s="39"/>
      <c r="O25" s="30"/>
    </row>
    <row r="26" spans="1:15" ht="19.5" customHeight="1">
      <c r="A26" s="105" t="s">
        <v>28</v>
      </c>
      <c r="B26" s="40" t="s">
        <v>27</v>
      </c>
      <c r="C26" s="101">
        <v>250</v>
      </c>
      <c r="D26" s="104" t="s">
        <v>79</v>
      </c>
      <c r="E26" s="102"/>
      <c r="F26" s="102"/>
      <c r="G26" s="86" t="s">
        <v>78</v>
      </c>
      <c r="H26" s="96">
        <f>C21*H11</f>
        <v>10.398019898915623</v>
      </c>
      <c r="I26" s="103" t="s">
        <v>71</v>
      </c>
      <c r="J26" s="38"/>
      <c r="K26" s="98">
        <f>H18-(C22*H15)</f>
        <v>0</v>
      </c>
      <c r="L26" s="39"/>
      <c r="M26" s="39"/>
      <c r="N26" s="39"/>
      <c r="O26" s="30"/>
    </row>
    <row r="27" spans="1:15" ht="19.5" customHeight="1">
      <c r="A27" s="2" t="s">
        <v>85</v>
      </c>
      <c r="B27" s="40" t="s">
        <v>86</v>
      </c>
      <c r="C27" s="101"/>
      <c r="D27" s="80" t="s">
        <v>110</v>
      </c>
      <c r="E27" s="102"/>
      <c r="F27" s="102"/>
      <c r="G27" s="86" t="s">
        <v>171</v>
      </c>
      <c r="H27" s="97">
        <f>((C7*H5*C32)/2)+((H6*C32)/2)+(H14*C33)+(H14*C9)+C20+H22+H24+((C21^2)*H14*C34)</f>
        <v>48.608206035584125</v>
      </c>
      <c r="I27" s="103" t="s">
        <v>72</v>
      </c>
      <c r="J27" s="38"/>
      <c r="K27" s="98">
        <f>(H18*(C11+C13))+(((C21^2)*H14*H12*C34)/2)-(H19*H12)</f>
        <v>0</v>
      </c>
      <c r="L27" s="39"/>
      <c r="M27" s="108"/>
      <c r="N27" s="39"/>
      <c r="O27" s="30"/>
    </row>
    <row r="28" spans="1:15" ht="19.5" customHeight="1">
      <c r="A28" s="2" t="s">
        <v>87</v>
      </c>
      <c r="B28" s="40" t="s">
        <v>88</v>
      </c>
      <c r="C28" s="96">
        <v>4</v>
      </c>
      <c r="D28" s="80" t="s">
        <v>172</v>
      </c>
      <c r="E28" s="102"/>
      <c r="F28" s="102"/>
      <c r="G28" s="86" t="s">
        <v>173</v>
      </c>
      <c r="H28" s="81">
        <f>((H27*H12)-(((C21^2)*H14*H12*C34)/2))/(C11+C13)</f>
        <v>113.01352191121778</v>
      </c>
      <c r="I28" s="103" t="s">
        <v>113</v>
      </c>
      <c r="J28" s="38"/>
      <c r="K28" s="98">
        <f>(H27*H12)-(((C21^2)*H14*H12*C34)/2)-(H28*(C11+C13))</f>
        <v>0</v>
      </c>
      <c r="L28" s="39"/>
      <c r="M28" s="108"/>
      <c r="N28" s="39"/>
      <c r="O28" s="30"/>
    </row>
    <row r="29" spans="1:15" ht="19.5" customHeight="1">
      <c r="A29" s="2" t="s">
        <v>90</v>
      </c>
      <c r="B29" s="40" t="s">
        <v>89</v>
      </c>
      <c r="C29" s="96">
        <v>6</v>
      </c>
      <c r="D29" s="80" t="s">
        <v>111</v>
      </c>
      <c r="E29" s="102"/>
      <c r="F29" s="102"/>
      <c r="G29" s="86" t="s">
        <v>124</v>
      </c>
      <c r="H29" s="96">
        <f>C14/((H28/(2*(SIN((PI())/C5))))/(((PI())*(H21^2))/4))</f>
        <v>8.359056885546543</v>
      </c>
      <c r="I29" s="90" t="s">
        <v>76</v>
      </c>
      <c r="J29" s="38"/>
      <c r="K29" s="95">
        <f>H8+H17+H19</f>
        <v>68.37749793816528</v>
      </c>
      <c r="L29" s="39"/>
      <c r="M29" s="108"/>
      <c r="N29" s="121"/>
      <c r="O29" s="30"/>
    </row>
    <row r="30" spans="1:15" ht="19.5" customHeight="1">
      <c r="A30" s="125"/>
      <c r="B30" s="145" t="s">
        <v>77</v>
      </c>
      <c r="C30" s="127"/>
      <c r="D30" s="109" t="s">
        <v>112</v>
      </c>
      <c r="E30" s="93"/>
      <c r="F30" s="93"/>
      <c r="G30" s="86" t="s">
        <v>133</v>
      </c>
      <c r="H30" s="96">
        <f>C14/((((H28^2)+(H27^2))^(1/2))/(((PI())*(C21^2)*(H11^2))/4))</f>
        <v>6.074147032815672</v>
      </c>
      <c r="I30" s="90" t="s">
        <v>114</v>
      </c>
      <c r="J30" s="38"/>
      <c r="K30" s="95">
        <f>(C7*H5*C32)+(H6*C32)+((C21^2)*H14*C34)+(2*H14*C33)+H22+H24+C20+(H14*C9)</f>
        <v>68.4029831377657</v>
      </c>
      <c r="L30" s="39"/>
      <c r="M30" s="39"/>
      <c r="N30" s="39"/>
      <c r="O30" s="30"/>
    </row>
    <row r="31" spans="1:15" ht="19.5" customHeight="1">
      <c r="A31" s="126"/>
      <c r="B31" s="146"/>
      <c r="C31" s="128"/>
      <c r="D31" s="104" t="s">
        <v>123</v>
      </c>
      <c r="E31" s="93"/>
      <c r="F31" s="93"/>
      <c r="G31" s="86" t="s">
        <v>96</v>
      </c>
      <c r="H31" s="81">
        <f>(((10^3)*H28*(C11+C13)*C29)/(((PI())/32)*C28))^(1/3)</f>
        <v>325.6496306156121</v>
      </c>
      <c r="I31" s="90" t="s">
        <v>115</v>
      </c>
      <c r="J31" s="93"/>
      <c r="K31" s="95">
        <f>(C7*H5*C32)+(H6*C32)+((C21^2)*H14*C34)+(2*H14*C33)+H23+H25+C20+(H14*C9)</f>
        <v>68.4029831377657</v>
      </c>
      <c r="M31" s="122"/>
      <c r="O31" s="30"/>
    </row>
    <row r="32" spans="1:15" ht="19.5" customHeight="1">
      <c r="A32" s="3" t="s">
        <v>142</v>
      </c>
      <c r="B32" s="124" t="s">
        <v>136</v>
      </c>
      <c r="C32" s="96">
        <f>((C8^2)+(C11^2))^(1/2)</f>
        <v>50</v>
      </c>
      <c r="D32" s="114" t="s">
        <v>117</v>
      </c>
      <c r="E32" s="93"/>
      <c r="F32" s="93"/>
      <c r="G32" s="86" t="s">
        <v>118</v>
      </c>
      <c r="H32" s="81">
        <f>(2*K8*(C3-(2*H12)))+(2*K9*(C4-(2*H12)))</f>
        <v>175.21680843949076</v>
      </c>
      <c r="I32" s="110" t="s">
        <v>130</v>
      </c>
      <c r="J32" s="93"/>
      <c r="K32" s="115">
        <f>H10</f>
        <v>8.665016582429686</v>
      </c>
      <c r="M32" s="122"/>
      <c r="O32" s="30"/>
    </row>
    <row r="33" spans="1:15" ht="19.5" customHeight="1">
      <c r="A33" s="2" t="s">
        <v>17</v>
      </c>
      <c r="B33" s="40" t="s">
        <v>139</v>
      </c>
      <c r="C33" s="96">
        <f>((H12^2)+(H13^2))^(1/2)</f>
        <v>50.480194135918296</v>
      </c>
      <c r="D33" s="80" t="s">
        <v>116</v>
      </c>
      <c r="E33" s="93"/>
      <c r="F33" s="93"/>
      <c r="G33" s="86" t="s">
        <v>119</v>
      </c>
      <c r="H33" s="81">
        <f>C38*H32</f>
        <v>846.0193925455245</v>
      </c>
      <c r="I33" s="110" t="s">
        <v>131</v>
      </c>
      <c r="J33" s="93"/>
      <c r="K33" s="115">
        <f>H11</f>
        <v>8.665016582429686</v>
      </c>
      <c r="M33" s="122"/>
      <c r="O33" s="30"/>
    </row>
    <row r="34" spans="1:15" ht="19.5" customHeight="1">
      <c r="A34" s="2" t="s">
        <v>143</v>
      </c>
      <c r="B34" s="40" t="s">
        <v>140</v>
      </c>
      <c r="C34" s="96">
        <f>(((C11+C13)^2)+(H12^2))^(1/2)</f>
        <v>52.461890930464946</v>
      </c>
      <c r="D34" s="80" t="s">
        <v>120</v>
      </c>
      <c r="E34" s="93"/>
      <c r="F34" s="93"/>
      <c r="G34" s="86" t="s">
        <v>122</v>
      </c>
      <c r="H34" s="81">
        <f>C24*K30</f>
        <v>16416.71595306377</v>
      </c>
      <c r="I34" s="119" t="s">
        <v>132</v>
      </c>
      <c r="J34" s="93"/>
      <c r="K34" s="115">
        <f>H21</f>
        <v>82.64871029270292</v>
      </c>
      <c r="M34" s="122"/>
      <c r="N34" s="122"/>
      <c r="O34" s="30"/>
    </row>
    <row r="35" spans="1:15" ht="19.5" customHeight="1">
      <c r="A35" s="2" t="s">
        <v>144</v>
      </c>
      <c r="B35" s="40" t="s">
        <v>141</v>
      </c>
      <c r="C35" s="97">
        <f>(C3-(2*H12))*(SIN((PI()/C5)))</f>
        <v>1.030505238239199</v>
      </c>
      <c r="D35" s="80" t="s">
        <v>80</v>
      </c>
      <c r="E35" s="93"/>
      <c r="F35" s="93"/>
      <c r="G35" s="86" t="s">
        <v>121</v>
      </c>
      <c r="H35" s="81">
        <f>C24*C7*H5*C32</f>
        <v>7578.642892018013</v>
      </c>
      <c r="I35" s="119" t="s">
        <v>79</v>
      </c>
      <c r="J35" s="38"/>
      <c r="K35" s="115">
        <f>H26</f>
        <v>10.398019898915623</v>
      </c>
      <c r="M35" s="122"/>
      <c r="N35" s="122"/>
      <c r="O35" s="30"/>
    </row>
    <row r="36" spans="1:15" ht="19.5" customHeight="1">
      <c r="A36" s="2" t="s">
        <v>145</v>
      </c>
      <c r="B36" s="40" t="s">
        <v>91</v>
      </c>
      <c r="C36" s="97">
        <f>(C4-(2*H12))*(SIN((PI()/C6)))</f>
        <v>0.384325894713922</v>
      </c>
      <c r="D36" s="80" t="s">
        <v>159</v>
      </c>
      <c r="E36" s="93"/>
      <c r="F36" s="93"/>
      <c r="G36" s="86" t="s">
        <v>152</v>
      </c>
      <c r="H36" s="81">
        <f>(2*C8*((K8*C3)+(K9*C4)))-(2*(C8^2)*(K8+K9))</f>
        <v>15799.43272633875</v>
      </c>
      <c r="I36" s="90" t="s">
        <v>160</v>
      </c>
      <c r="J36" s="38"/>
      <c r="K36" s="95">
        <f>C24*H5*C32</f>
        <v>25262.142973393376</v>
      </c>
      <c r="M36" s="122"/>
      <c r="N36" s="122"/>
      <c r="O36" s="30"/>
    </row>
    <row r="37" spans="1:15" ht="19.5" customHeight="1">
      <c r="A37" s="2" t="s">
        <v>147</v>
      </c>
      <c r="B37" s="40" t="s">
        <v>148</v>
      </c>
      <c r="C37" s="81">
        <f>(H7+((1+C22)*H15))/(2*(SIN((PI())/C5)))</f>
        <v>7868.527463845262</v>
      </c>
      <c r="D37" s="80" t="s">
        <v>127</v>
      </c>
      <c r="E37" s="93"/>
      <c r="F37" s="93"/>
      <c r="G37" s="86" t="s">
        <v>151</v>
      </c>
      <c r="H37" s="81">
        <f>((H15^2)+(H17^2))^(1/2)</f>
        <v>77.151933099942</v>
      </c>
      <c r="I37" s="90" t="s">
        <v>83</v>
      </c>
      <c r="J37" s="38"/>
      <c r="K37" s="98">
        <f>H34/H36</f>
        <v>1.039069961397789</v>
      </c>
      <c r="M37" s="122"/>
      <c r="N37" s="122"/>
      <c r="O37" s="30"/>
    </row>
    <row r="38" spans="1:14" s="83" customFormat="1" ht="19.5" customHeight="1">
      <c r="A38" s="135" t="s">
        <v>149</v>
      </c>
      <c r="B38" s="130" t="s">
        <v>150</v>
      </c>
      <c r="C38" s="136">
        <f>(C37*C18*C16)/((10^3)*C14)</f>
        <v>4.828414580086865</v>
      </c>
      <c r="D38" s="132" t="s">
        <v>156</v>
      </c>
      <c r="E38" s="129"/>
      <c r="F38" s="129"/>
      <c r="G38" s="93" t="s">
        <v>155</v>
      </c>
      <c r="H38" s="133">
        <f>3*C33*C24</f>
        <v>36345.73977786118</v>
      </c>
      <c r="I38" s="132"/>
      <c r="J38" s="131"/>
      <c r="K38" s="42"/>
      <c r="N38" s="123"/>
    </row>
    <row r="39" spans="1:11" s="83" customFormat="1" ht="19.5" customHeight="1" thickBot="1">
      <c r="A39" s="137"/>
      <c r="B39" s="138"/>
      <c r="C39" s="139"/>
      <c r="D39" s="143" t="s">
        <v>157</v>
      </c>
      <c r="E39" s="141"/>
      <c r="F39" s="141"/>
      <c r="G39" s="141" t="s">
        <v>158</v>
      </c>
      <c r="H39" s="144">
        <f>C34*C24</f>
        <v>12590.853823311587</v>
      </c>
      <c r="I39" s="140"/>
      <c r="J39" s="141"/>
      <c r="K39" s="134"/>
    </row>
    <row r="40" spans="1:11" ht="19.5" customHeight="1">
      <c r="A40" s="87"/>
      <c r="B40" s="87"/>
      <c r="C40" s="83"/>
      <c r="D40" s="83"/>
      <c r="E40" s="83"/>
      <c r="F40" s="83"/>
      <c r="G40" s="83"/>
      <c r="H40" s="83"/>
      <c r="I40" s="83"/>
      <c r="J40" s="83"/>
      <c r="K40" s="88"/>
    </row>
    <row r="41" spans="1:11" ht="19.5" customHeight="1">
      <c r="A41" s="87"/>
      <c r="B41" s="87"/>
      <c r="C41" s="83"/>
      <c r="D41" s="83"/>
      <c r="E41" s="83"/>
      <c r="F41" s="83"/>
      <c r="G41" s="83"/>
      <c r="H41" s="83"/>
      <c r="I41" s="83"/>
      <c r="J41" s="83"/>
      <c r="K41" s="88"/>
    </row>
    <row r="42" spans="1:11" ht="19.5" customHeight="1">
      <c r="A42" s="87"/>
      <c r="B42" s="87"/>
      <c r="C42" s="83"/>
      <c r="D42" s="83"/>
      <c r="E42" s="83"/>
      <c r="F42" s="83"/>
      <c r="G42" s="83"/>
      <c r="H42" s="83"/>
      <c r="I42" s="83"/>
      <c r="J42" s="83"/>
      <c r="K42" s="88"/>
    </row>
    <row r="43" spans="1:11" ht="19.5" customHeight="1">
      <c r="A43" s="87"/>
      <c r="B43" s="87"/>
      <c r="C43" s="83"/>
      <c r="D43" s="83"/>
      <c r="E43" s="83"/>
      <c r="F43" s="83"/>
      <c r="G43" s="83"/>
      <c r="H43" s="83"/>
      <c r="I43" s="83"/>
      <c r="J43" s="83"/>
      <c r="K43" s="88"/>
    </row>
    <row r="44" spans="1:11" ht="19.5" customHeight="1">
      <c r="A44" s="87"/>
      <c r="B44" s="87"/>
      <c r="C44" s="83"/>
      <c r="D44" s="83"/>
      <c r="E44" s="83"/>
      <c r="F44" s="83"/>
      <c r="G44" s="83"/>
      <c r="H44" s="83"/>
      <c r="I44" s="83"/>
      <c r="J44" s="83"/>
      <c r="K44" s="88"/>
    </row>
    <row r="45" spans="1:11" ht="19.5" customHeight="1">
      <c r="A45" s="87"/>
      <c r="B45" s="87"/>
      <c r="C45" s="83"/>
      <c r="D45" s="83"/>
      <c r="E45" s="83"/>
      <c r="F45" s="83"/>
      <c r="G45" s="83"/>
      <c r="H45" s="83"/>
      <c r="I45" s="83"/>
      <c r="J45" s="83"/>
      <c r="K45" s="88"/>
    </row>
    <row r="46" spans="1:11" ht="19.5" customHeight="1">
      <c r="A46" s="87"/>
      <c r="B46" s="87"/>
      <c r="C46" s="83"/>
      <c r="D46" s="83"/>
      <c r="E46" s="83"/>
      <c r="F46" s="83"/>
      <c r="G46" s="83"/>
      <c r="H46" s="83"/>
      <c r="I46" s="83"/>
      <c r="J46" s="83"/>
      <c r="K46" s="88"/>
    </row>
    <row r="47" spans="1:11" ht="18.75" customHeight="1">
      <c r="A47" s="87"/>
      <c r="B47" s="87"/>
      <c r="C47" s="83"/>
      <c r="D47" s="83"/>
      <c r="E47" s="83"/>
      <c r="F47" s="83"/>
      <c r="G47" s="83"/>
      <c r="H47" s="83"/>
      <c r="I47" s="83"/>
      <c r="J47" s="83"/>
      <c r="K47" s="88"/>
    </row>
    <row r="48" spans="1:11" ht="18.75" customHeight="1">
      <c r="A48" s="87"/>
      <c r="B48" s="87"/>
      <c r="C48" s="83"/>
      <c r="D48" s="83"/>
      <c r="E48" s="83"/>
      <c r="F48" s="83"/>
      <c r="G48" s="83"/>
      <c r="H48" s="83"/>
      <c r="I48" s="83"/>
      <c r="J48" s="83"/>
      <c r="K48" s="88"/>
    </row>
    <row r="49" spans="1:11" ht="18.75" customHeight="1">
      <c r="A49" s="87"/>
      <c r="B49" s="87"/>
      <c r="C49" s="83"/>
      <c r="D49" s="83"/>
      <c r="E49" s="83"/>
      <c r="F49" s="83"/>
      <c r="G49" s="83"/>
      <c r="H49" s="83"/>
      <c r="I49" s="83"/>
      <c r="J49" s="83"/>
      <c r="K49" s="88"/>
    </row>
    <row r="50" spans="1:11" ht="18.75" customHeight="1">
      <c r="A50" s="87"/>
      <c r="B50" s="87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12.75">
      <c r="A51" s="83"/>
      <c r="B51" s="87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12.75">
      <c r="A52" s="83"/>
      <c r="B52" s="89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1:1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1:1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</row>
    <row r="67" spans="1:11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</row>
    <row r="68" spans="1:11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</row>
    <row r="69" spans="1:11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</row>
    <row r="70" spans="1:11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</row>
    <row r="72" spans="1:11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</sheetData>
  <mergeCells count="5">
    <mergeCell ref="B30:B31"/>
    <mergeCell ref="A1:K1"/>
    <mergeCell ref="I2:K2"/>
    <mergeCell ref="A2:B2"/>
    <mergeCell ref="D2:G2"/>
  </mergeCells>
  <printOptions/>
  <pageMargins left="0.25" right="0.1968503937007874" top="0.24" bottom="0.1968503937007874" header="0.12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F125"/>
    </sheetView>
  </sheetViews>
  <sheetFormatPr defaultColWidth="11.421875" defaultRowHeight="12.75"/>
  <cols>
    <col min="1" max="1" width="5.7109375" style="0" customWidth="1"/>
    <col min="2" max="2" width="26.57421875" style="0" customWidth="1"/>
    <col min="3" max="3" width="9.421875" style="0" customWidth="1"/>
    <col min="4" max="4" width="5.7109375" style="0" customWidth="1"/>
    <col min="5" max="5" width="27.7109375" style="0" customWidth="1"/>
    <col min="6" max="6" width="11.57421875" style="0" customWidth="1"/>
  </cols>
  <sheetData>
    <row r="1" spans="1:6" ht="24.75" customHeight="1" thickBot="1">
      <c r="A1" s="159"/>
      <c r="B1" s="160"/>
      <c r="C1" s="161"/>
      <c r="D1" s="164"/>
      <c r="E1" s="165"/>
      <c r="F1" s="165"/>
    </row>
    <row r="2" spans="1:7" ht="24.75" customHeight="1" thickBot="1">
      <c r="A2" s="162"/>
      <c r="B2" s="163"/>
      <c r="C2" s="6"/>
      <c r="D2" s="3"/>
      <c r="E2" s="11"/>
      <c r="F2" s="14"/>
      <c r="G2" s="61"/>
    </row>
    <row r="3" spans="1:7" ht="21.75" customHeight="1">
      <c r="A3" s="56"/>
      <c r="B3" s="57"/>
      <c r="C3" s="60"/>
      <c r="D3" s="20"/>
      <c r="E3" s="11"/>
      <c r="F3" s="12"/>
      <c r="G3" s="61"/>
    </row>
    <row r="4" spans="1:7" ht="24.75" customHeight="1">
      <c r="A4" s="7"/>
      <c r="B4" s="59"/>
      <c r="C4" s="78"/>
      <c r="D4" s="20"/>
      <c r="E4" s="11"/>
      <c r="F4" s="21"/>
      <c r="G4" s="61"/>
    </row>
    <row r="5" spans="1:7" ht="21.75" customHeight="1">
      <c r="A5" s="20"/>
      <c r="B5" s="17"/>
      <c r="C5" s="14"/>
      <c r="D5" s="20"/>
      <c r="E5" s="11"/>
      <c r="F5" s="21"/>
      <c r="G5" s="61"/>
    </row>
    <row r="6" spans="1:7" ht="21.75" customHeight="1">
      <c r="A6" s="20"/>
      <c r="B6" s="11"/>
      <c r="C6" s="1"/>
      <c r="D6" s="20"/>
      <c r="E6" s="11"/>
      <c r="F6" s="14"/>
      <c r="G6" s="61"/>
    </row>
    <row r="7" spans="1:7" ht="21.75" customHeight="1">
      <c r="A7" s="20"/>
      <c r="B7" s="11"/>
      <c r="C7" s="1"/>
      <c r="D7" s="20"/>
      <c r="E7" s="11"/>
      <c r="F7" s="14"/>
      <c r="G7" s="61"/>
    </row>
    <row r="8" spans="1:7" ht="21.75" customHeight="1">
      <c r="A8" s="20"/>
      <c r="B8" s="11"/>
      <c r="C8" s="1"/>
      <c r="D8" s="20"/>
      <c r="E8" s="11"/>
      <c r="F8" s="14"/>
      <c r="G8" s="61"/>
    </row>
    <row r="9" spans="1:7" ht="21.75" customHeight="1">
      <c r="A9" s="20"/>
      <c r="B9" s="11"/>
      <c r="C9" s="1"/>
      <c r="D9" s="20"/>
      <c r="E9" s="11"/>
      <c r="F9" s="14"/>
      <c r="G9" s="61"/>
    </row>
    <row r="10" spans="1:7" ht="21.75" customHeight="1">
      <c r="A10" s="20"/>
      <c r="B10" s="11"/>
      <c r="C10" s="1"/>
      <c r="D10" s="20"/>
      <c r="E10" s="38"/>
      <c r="F10" s="14"/>
      <c r="G10" s="61"/>
    </row>
    <row r="11" spans="1:7" ht="21.75" customHeight="1">
      <c r="A11" s="20"/>
      <c r="B11" s="11"/>
      <c r="C11" s="14"/>
      <c r="D11" s="20"/>
      <c r="E11" s="38"/>
      <c r="F11" s="14"/>
      <c r="G11" s="61"/>
    </row>
    <row r="12" spans="1:7" ht="21.75" customHeight="1">
      <c r="A12" s="20"/>
      <c r="B12" s="11"/>
      <c r="C12" s="14"/>
      <c r="D12" s="3"/>
      <c r="E12" s="38"/>
      <c r="F12" s="14"/>
      <c r="G12" s="61"/>
    </row>
    <row r="13" spans="1:7" ht="21.75" customHeight="1">
      <c r="A13" s="20"/>
      <c r="B13" s="11"/>
      <c r="C13" s="14"/>
      <c r="D13" s="20"/>
      <c r="E13" s="11"/>
      <c r="F13" s="14"/>
      <c r="G13" s="61"/>
    </row>
    <row r="14" spans="1:6" ht="21.75" customHeight="1">
      <c r="A14" s="20"/>
      <c r="B14" s="11"/>
      <c r="C14" s="14"/>
      <c r="D14" s="41"/>
      <c r="E14" s="63"/>
      <c r="F14" s="1"/>
    </row>
    <row r="15" spans="1:6" ht="21.75" customHeight="1">
      <c r="A15" s="20"/>
      <c r="B15" s="11"/>
      <c r="C15" s="14"/>
      <c r="D15" s="41"/>
      <c r="E15" s="11"/>
      <c r="F15" s="1"/>
    </row>
    <row r="16" spans="1:6" ht="21.75" customHeight="1">
      <c r="A16" s="20"/>
      <c r="B16" s="11"/>
      <c r="C16" s="31"/>
      <c r="D16" s="3"/>
      <c r="E16" s="11"/>
      <c r="F16" s="1"/>
    </row>
    <row r="17" spans="1:6" ht="21.75" customHeight="1">
      <c r="A17" s="3"/>
      <c r="B17" s="11"/>
      <c r="C17" s="14"/>
      <c r="D17" s="3"/>
      <c r="E17" s="11"/>
      <c r="F17" s="1"/>
    </row>
    <row r="18" spans="1:6" ht="21.75" customHeight="1">
      <c r="A18" s="20"/>
      <c r="B18" s="11"/>
      <c r="C18" s="12"/>
      <c r="D18" s="3"/>
      <c r="E18" s="11"/>
      <c r="F18" s="1"/>
    </row>
    <row r="19" spans="1:6" ht="21.75" customHeight="1">
      <c r="A19" s="20"/>
      <c r="B19" s="11"/>
      <c r="C19" s="12"/>
      <c r="D19" s="41"/>
      <c r="E19" s="11"/>
      <c r="F19" s="1"/>
    </row>
    <row r="20" spans="1:6" ht="21.75" customHeight="1">
      <c r="A20" s="20"/>
      <c r="B20" s="11"/>
      <c r="C20" s="1"/>
      <c r="D20" s="41"/>
      <c r="E20" s="11"/>
      <c r="F20" s="1"/>
    </row>
    <row r="21" spans="1:6" ht="21.75" customHeight="1">
      <c r="A21" s="20"/>
      <c r="B21" s="11"/>
      <c r="C21" s="1"/>
      <c r="D21" s="41"/>
      <c r="E21" s="11"/>
      <c r="F21" s="1"/>
    </row>
    <row r="22" spans="1:6" ht="21.75" customHeight="1">
      <c r="A22" s="20"/>
      <c r="B22" s="11"/>
      <c r="C22" s="1"/>
      <c r="D22" s="41"/>
      <c r="E22" s="11"/>
      <c r="F22" s="1"/>
    </row>
    <row r="23" spans="1:6" ht="21.75" customHeight="1">
      <c r="A23" s="20"/>
      <c r="B23" s="11"/>
      <c r="C23" s="14"/>
      <c r="D23" s="41"/>
      <c r="E23" s="11"/>
      <c r="F23" s="1"/>
    </row>
    <row r="24" spans="1:6" ht="21.75" customHeight="1">
      <c r="A24" s="20"/>
      <c r="B24" s="11"/>
      <c r="C24" s="14"/>
      <c r="D24" s="41"/>
      <c r="E24" s="11"/>
      <c r="F24" s="1"/>
    </row>
    <row r="25" spans="1:6" ht="21.75" customHeight="1">
      <c r="A25" s="20"/>
      <c r="B25" s="11"/>
      <c r="C25" s="14"/>
      <c r="D25" s="41"/>
      <c r="E25" s="11"/>
      <c r="F25" s="42"/>
    </row>
    <row r="26" spans="1:6" ht="25.5" customHeight="1">
      <c r="A26" s="20"/>
      <c r="B26" s="17"/>
      <c r="C26" s="14"/>
      <c r="D26" s="41"/>
      <c r="E26" s="11"/>
      <c r="F26" s="42"/>
    </row>
    <row r="27" spans="1:6" ht="21.75" customHeight="1">
      <c r="A27" s="20"/>
      <c r="B27" s="11"/>
      <c r="C27" s="1"/>
      <c r="D27" s="41"/>
      <c r="E27" s="11"/>
      <c r="F27" s="42"/>
    </row>
    <row r="28" spans="1:6" ht="21.75" customHeight="1">
      <c r="A28" s="20"/>
      <c r="B28" s="11"/>
      <c r="C28" s="1"/>
      <c r="D28" s="41"/>
      <c r="E28" s="11"/>
      <c r="F28" s="42"/>
    </row>
    <row r="29" spans="1:6" ht="21.75" customHeight="1">
      <c r="A29" s="3"/>
      <c r="B29" s="11"/>
      <c r="C29" s="1"/>
      <c r="D29" s="41"/>
      <c r="E29" s="11"/>
      <c r="F29" s="42"/>
    </row>
    <row r="30" spans="1:6" ht="21.75" customHeight="1">
      <c r="A30" s="20"/>
      <c r="B30" s="11"/>
      <c r="C30" s="1"/>
      <c r="D30" s="41"/>
      <c r="E30" s="11"/>
      <c r="F30" s="42"/>
    </row>
    <row r="31" spans="1:6" ht="21.75" customHeight="1">
      <c r="A31" s="20"/>
      <c r="B31" s="11"/>
      <c r="C31" s="14"/>
      <c r="D31" s="41"/>
      <c r="E31" s="11"/>
      <c r="F31" s="42"/>
    </row>
    <row r="32" spans="1:6" ht="21.75" customHeight="1">
      <c r="A32" s="20"/>
      <c r="B32" s="11"/>
      <c r="C32" s="14"/>
      <c r="D32" s="41"/>
      <c r="E32" s="11"/>
      <c r="F32" s="42"/>
    </row>
    <row r="33" spans="1:2" ht="21.75" customHeight="1">
      <c r="A33" s="62"/>
      <c r="B33" s="58"/>
    </row>
    <row r="34" ht="21.75" customHeight="1"/>
  </sheetData>
  <mergeCells count="3">
    <mergeCell ref="A1:C1"/>
    <mergeCell ref="A2:B2"/>
    <mergeCell ref="D1:F1"/>
  </mergeCells>
  <printOptions/>
  <pageMargins left="0.62" right="0.43" top="1" bottom="1" header="0.4921259845" footer="0.4921259845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35"/>
    </sheetView>
  </sheetViews>
  <sheetFormatPr defaultColWidth="11.421875" defaultRowHeight="12.75"/>
  <cols>
    <col min="1" max="1" width="5.7109375" style="0" customWidth="1"/>
    <col min="2" max="2" width="29.7109375" style="0" customWidth="1"/>
    <col min="3" max="3" width="8.7109375" style="0" customWidth="1"/>
    <col min="4" max="4" width="2.7109375" style="0" customWidth="1"/>
    <col min="5" max="5" width="5.7109375" style="0" customWidth="1"/>
    <col min="6" max="6" width="23.7109375" style="0" customWidth="1"/>
    <col min="7" max="7" width="12.421875" style="0" customWidth="1"/>
  </cols>
  <sheetData>
    <row r="1" spans="1:7" ht="24.75" customHeight="1" thickBot="1">
      <c r="A1" s="159"/>
      <c r="B1" s="160"/>
      <c r="C1" s="161"/>
      <c r="D1" s="9"/>
      <c r="E1" s="159"/>
      <c r="F1" s="166"/>
      <c r="G1" s="163"/>
    </row>
    <row r="2" spans="1:7" ht="24.75" customHeight="1" thickBot="1">
      <c r="A2" s="5"/>
      <c r="B2" s="4"/>
      <c r="C2" s="72"/>
      <c r="D2" s="37"/>
      <c r="E2" s="166"/>
      <c r="F2" s="161"/>
      <c r="G2" s="6"/>
    </row>
    <row r="3" spans="1:7" ht="19.5" customHeight="1">
      <c r="A3" s="22"/>
      <c r="B3" s="23"/>
      <c r="C3" s="77"/>
      <c r="D3" s="24"/>
      <c r="E3" s="25"/>
      <c r="F3" s="26"/>
      <c r="G3" s="27"/>
    </row>
    <row r="4" spans="1:7" ht="18" customHeight="1">
      <c r="A4" s="7"/>
      <c r="B4" s="8"/>
      <c r="C4" s="74"/>
      <c r="E4" s="3"/>
      <c r="F4" s="17"/>
      <c r="G4" s="1"/>
    </row>
    <row r="5" spans="1:7" ht="18" customHeight="1">
      <c r="A5" s="7"/>
      <c r="B5" s="8"/>
      <c r="C5" s="74"/>
      <c r="E5" s="3"/>
      <c r="F5" s="13"/>
      <c r="G5" s="14"/>
    </row>
    <row r="6" spans="1:7" ht="18" customHeight="1">
      <c r="A6" s="7"/>
      <c r="B6" s="8"/>
      <c r="C6" s="74"/>
      <c r="E6" s="20"/>
      <c r="F6" s="17"/>
      <c r="G6" s="14"/>
    </row>
    <row r="7" spans="1:7" ht="25.5" customHeight="1">
      <c r="A7" s="7"/>
      <c r="B7" s="8"/>
      <c r="C7" s="74"/>
      <c r="E7" s="20"/>
      <c r="F7" s="17"/>
      <c r="G7" s="12"/>
    </row>
    <row r="8" spans="1:7" ht="18.75" customHeight="1">
      <c r="A8" s="7"/>
      <c r="B8" s="8"/>
      <c r="C8" s="74"/>
      <c r="E8" s="20"/>
      <c r="F8" s="11"/>
      <c r="G8" s="14"/>
    </row>
    <row r="9" spans="1:7" ht="19.5" customHeight="1">
      <c r="A9" s="7"/>
      <c r="B9" s="8"/>
      <c r="C9" s="74"/>
      <c r="E9" s="20"/>
      <c r="F9" s="11"/>
      <c r="G9" s="14"/>
    </row>
    <row r="10" spans="1:7" ht="19.5" customHeight="1">
      <c r="A10" s="7"/>
      <c r="B10" s="10"/>
      <c r="C10" s="74"/>
      <c r="E10" s="20"/>
      <c r="F10" s="11"/>
      <c r="G10" s="14"/>
    </row>
    <row r="11" spans="1:7" ht="19.5" customHeight="1">
      <c r="A11" s="7"/>
      <c r="B11" s="8"/>
      <c r="C11" s="74"/>
      <c r="E11" s="3"/>
      <c r="F11" s="32"/>
      <c r="G11" s="14"/>
    </row>
    <row r="12" spans="1:7" ht="25.5" customHeight="1">
      <c r="A12" s="7"/>
      <c r="B12" s="15"/>
      <c r="C12" s="74"/>
      <c r="E12" s="3"/>
      <c r="F12" s="11"/>
      <c r="G12" s="31"/>
    </row>
    <row r="13" spans="1:7" ht="25.5" customHeight="1">
      <c r="A13" s="7"/>
      <c r="B13" s="8"/>
      <c r="C13" s="74"/>
      <c r="E13" s="3"/>
      <c r="F13" s="11"/>
      <c r="G13" s="21"/>
    </row>
    <row r="14" spans="1:7" ht="25.5" customHeight="1">
      <c r="A14" s="7"/>
      <c r="B14" s="8"/>
      <c r="C14" s="74"/>
      <c r="E14" s="3"/>
      <c r="F14" s="11"/>
      <c r="G14" s="12"/>
    </row>
    <row r="15" spans="1:7" ht="19.5" customHeight="1">
      <c r="A15" s="7"/>
      <c r="B15" s="8"/>
      <c r="C15" s="74"/>
      <c r="E15" s="20"/>
      <c r="F15" s="11"/>
      <c r="G15" s="1"/>
    </row>
    <row r="16" spans="1:7" ht="25.5" customHeight="1">
      <c r="A16" s="7"/>
      <c r="B16" s="8"/>
      <c r="C16" s="74"/>
      <c r="E16" s="20"/>
      <c r="F16" s="11"/>
      <c r="G16" s="14"/>
    </row>
    <row r="17" spans="1:7" ht="19.5" customHeight="1">
      <c r="A17" s="7"/>
      <c r="B17" s="8"/>
      <c r="C17" s="74"/>
      <c r="E17" s="20"/>
      <c r="F17" s="11"/>
      <c r="G17" s="14"/>
    </row>
    <row r="18" spans="1:7" ht="19.5" customHeight="1">
      <c r="A18" s="7"/>
      <c r="B18" s="8"/>
      <c r="C18" s="75"/>
      <c r="E18" s="3"/>
      <c r="F18" s="11"/>
      <c r="G18" s="14"/>
    </row>
    <row r="19" spans="1:7" ht="25.5" customHeight="1">
      <c r="A19" s="64"/>
      <c r="B19" s="8"/>
      <c r="C19" s="75"/>
      <c r="E19" s="3"/>
      <c r="F19" s="11"/>
      <c r="G19" s="1"/>
    </row>
    <row r="20" spans="1:7" ht="25.5" customHeight="1">
      <c r="A20" s="64"/>
      <c r="B20" s="18"/>
      <c r="C20" s="75"/>
      <c r="E20" s="3"/>
      <c r="F20" s="38"/>
      <c r="G20" s="14"/>
    </row>
    <row r="21" spans="1:7" ht="19.5" customHeight="1">
      <c r="A21" s="7"/>
      <c r="B21" s="19"/>
      <c r="C21" s="75"/>
      <c r="E21" s="3"/>
      <c r="F21" s="11"/>
      <c r="G21" s="14"/>
    </row>
    <row r="22" spans="1:7" ht="19.5" customHeight="1">
      <c r="A22" s="7"/>
      <c r="B22" s="19"/>
      <c r="C22" s="75"/>
      <c r="E22" s="3"/>
      <c r="F22" s="11"/>
      <c r="G22" s="21"/>
    </row>
    <row r="23" spans="1:7" ht="25.5" customHeight="1">
      <c r="A23" s="7"/>
      <c r="B23" s="19"/>
      <c r="C23" s="75"/>
      <c r="E23" s="3"/>
      <c r="F23" s="11"/>
      <c r="G23" s="14"/>
    </row>
    <row r="24" spans="1:7" ht="19.5" customHeight="1" thickBot="1">
      <c r="A24" s="68"/>
      <c r="B24" s="69"/>
      <c r="C24" s="76"/>
      <c r="D24" s="34"/>
      <c r="E24" s="36"/>
      <c r="F24" s="35"/>
      <c r="G24" s="14"/>
    </row>
    <row r="25" spans="1:7" ht="18" customHeight="1">
      <c r="A25" s="70"/>
      <c r="B25" s="71"/>
      <c r="C25" s="73"/>
      <c r="D25" s="34"/>
      <c r="E25" s="36"/>
      <c r="F25" s="33"/>
      <c r="G25" s="51"/>
    </row>
    <row r="26" spans="1:7" ht="19.5" customHeight="1">
      <c r="A26" s="65"/>
      <c r="B26" s="66"/>
      <c r="C26" s="67"/>
      <c r="E26" s="29"/>
      <c r="F26" s="16"/>
      <c r="G26" s="52"/>
    </row>
    <row r="27" spans="1:7" ht="19.5" customHeight="1">
      <c r="A27" s="3"/>
      <c r="B27" s="40"/>
      <c r="C27" s="28"/>
      <c r="D27" s="44"/>
      <c r="E27" s="3"/>
      <c r="F27" s="11"/>
      <c r="G27" s="14"/>
    </row>
    <row r="28" spans="1:7" ht="19.5" customHeight="1">
      <c r="A28" s="3"/>
      <c r="B28" s="13"/>
      <c r="C28" s="14"/>
      <c r="D28" s="45"/>
      <c r="E28" s="3"/>
      <c r="F28" s="11"/>
      <c r="G28" s="14"/>
    </row>
    <row r="29" spans="1:7" ht="19.5" customHeight="1">
      <c r="A29" s="3"/>
      <c r="B29" s="13"/>
      <c r="C29" s="1"/>
      <c r="D29" s="45"/>
      <c r="E29" s="46"/>
      <c r="F29" s="13"/>
      <c r="G29" s="21"/>
    </row>
    <row r="30" spans="1:7" ht="19.5" customHeight="1">
      <c r="A30" s="3"/>
      <c r="B30" s="13"/>
      <c r="C30" s="1"/>
      <c r="D30" s="45"/>
      <c r="E30" s="47"/>
      <c r="F30" s="43"/>
      <c r="G30" s="21"/>
    </row>
    <row r="31" spans="1:7" ht="19.5" customHeight="1">
      <c r="A31" s="3"/>
      <c r="B31" s="13"/>
      <c r="C31" s="14"/>
      <c r="D31" s="45"/>
      <c r="E31" s="3"/>
      <c r="F31" s="11"/>
      <c r="G31" s="14"/>
    </row>
    <row r="32" spans="1:7" ht="19.5" customHeight="1">
      <c r="A32" s="3"/>
      <c r="B32" s="13"/>
      <c r="C32" s="14"/>
      <c r="D32" s="45"/>
      <c r="E32" s="41"/>
      <c r="F32" s="11"/>
      <c r="G32" s="14"/>
    </row>
    <row r="33" spans="1:7" ht="19.5" customHeight="1">
      <c r="A33" s="41"/>
      <c r="B33" s="13"/>
      <c r="C33" s="42"/>
      <c r="D33" s="45"/>
      <c r="E33" s="41"/>
      <c r="F33" s="11"/>
      <c r="G33" s="14"/>
    </row>
    <row r="34" spans="1:7" ht="19.5" customHeight="1">
      <c r="A34" s="41"/>
      <c r="B34" s="13"/>
      <c r="C34" s="42"/>
      <c r="D34" s="45"/>
      <c r="E34" s="41"/>
      <c r="F34" s="11"/>
      <c r="G34" s="14"/>
    </row>
    <row r="35" spans="1:7" ht="60" customHeight="1" thickBot="1">
      <c r="A35" s="48"/>
      <c r="B35" s="55"/>
      <c r="C35" s="49"/>
      <c r="D35" s="50"/>
      <c r="E35" s="48"/>
      <c r="F35" s="54"/>
      <c r="G35" s="53"/>
    </row>
    <row r="36" spans="5:7" ht="19.5" customHeight="1" thickTop="1">
      <c r="E36" s="30"/>
      <c r="F36" s="30"/>
      <c r="G36" s="39"/>
    </row>
    <row r="37" spans="5:7" ht="12.75">
      <c r="E37" s="30"/>
      <c r="F37" s="30"/>
      <c r="G37" s="30"/>
    </row>
    <row r="38" spans="5:7" ht="12.75">
      <c r="E38" s="30"/>
      <c r="F38" s="30"/>
      <c r="G38" s="30"/>
    </row>
    <row r="39" spans="5:7" ht="12.75">
      <c r="E39" s="30"/>
      <c r="F39" s="30"/>
      <c r="G39" s="30"/>
    </row>
    <row r="40" spans="5:7" ht="12.75">
      <c r="E40" s="30"/>
      <c r="F40" s="30"/>
      <c r="G40" s="30"/>
    </row>
    <row r="41" spans="5:7" ht="12.75">
      <c r="E41" s="30"/>
      <c r="F41" s="30"/>
      <c r="G41" s="30"/>
    </row>
    <row r="42" spans="5:7" ht="12.75">
      <c r="E42" s="30"/>
      <c r="F42" s="30"/>
      <c r="G42" s="30"/>
    </row>
    <row r="43" spans="5:7" ht="12.75">
      <c r="E43" s="30"/>
      <c r="F43" s="30"/>
      <c r="G43" s="30"/>
    </row>
    <row r="44" spans="5:7" ht="12.75">
      <c r="E44" s="30"/>
      <c r="F44" s="30"/>
      <c r="G44" s="30"/>
    </row>
    <row r="45" spans="5:7" ht="12.75">
      <c r="E45" s="30"/>
      <c r="F45" s="30"/>
      <c r="G45" s="30"/>
    </row>
    <row r="46" spans="5:7" ht="12.75">
      <c r="E46" s="30"/>
      <c r="F46" s="30"/>
      <c r="G46" s="30"/>
    </row>
    <row r="47" spans="5:7" ht="12.75">
      <c r="E47" s="30"/>
      <c r="F47" s="30"/>
      <c r="G47" s="30"/>
    </row>
    <row r="48" spans="5:7" ht="12.75">
      <c r="E48" s="30"/>
      <c r="F48" s="30"/>
      <c r="G48" s="30"/>
    </row>
    <row r="49" spans="5:7" ht="12.75">
      <c r="E49" s="30"/>
      <c r="F49" s="30"/>
      <c r="G49" s="30"/>
    </row>
    <row r="50" spans="5:7" ht="12.75">
      <c r="E50" s="30"/>
      <c r="F50" s="30"/>
      <c r="G50" s="30"/>
    </row>
    <row r="51" spans="5:7" ht="12.75">
      <c r="E51" s="30"/>
      <c r="F51" s="30"/>
      <c r="G51" s="30"/>
    </row>
    <row r="52" spans="5:7" ht="12.75">
      <c r="E52" s="30"/>
      <c r="F52" s="30"/>
      <c r="G52" s="30"/>
    </row>
    <row r="53" spans="5:7" ht="12.75">
      <c r="E53" s="30"/>
      <c r="F53" s="30"/>
      <c r="G53" s="30"/>
    </row>
    <row r="54" spans="5:7" ht="12.75">
      <c r="E54" s="30"/>
      <c r="F54" s="30"/>
      <c r="G54" s="30"/>
    </row>
  </sheetData>
  <mergeCells count="3">
    <mergeCell ref="A1:C1"/>
    <mergeCell ref="E1:G1"/>
    <mergeCell ref="E2:F2"/>
  </mergeCells>
  <printOptions/>
  <pageMargins left="4.52755905511811" right="0.1968503937007874" top="3.8976377952755907" bottom="0.1968503937007874" header="0.3937007874015748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CHAMBON René</cp:lastModifiedBy>
  <cp:lastPrinted>2013-01-02T10:17:19Z</cp:lastPrinted>
  <dcterms:created xsi:type="dcterms:W3CDTF">2004-02-22T08:29:06Z</dcterms:created>
  <dcterms:modified xsi:type="dcterms:W3CDTF">2013-01-10T16:54:07Z</dcterms:modified>
  <cp:category/>
  <cp:version/>
  <cp:contentType/>
  <cp:contentStatus/>
</cp:coreProperties>
</file>